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iotownshipmi.sharepoint.com/sites/ScioOrg/Admin/HR/Shared Documents/PAYROLL/"/>
    </mc:Choice>
  </mc:AlternateContent>
  <xr:revisionPtr revIDLastSave="166" documentId="8_{3E634D58-1FFF-4E8D-84DD-E0866F28329E}" xr6:coauthVersionLast="46" xr6:coauthVersionMax="46" xr10:uidLastSave="{F10BB37B-033C-4634-8452-3DBE2A241ED2}"/>
  <bookViews>
    <workbookView xWindow="-110" yWindow="-110" windowWidth="19420" windowHeight="10420" activeTab="2" xr2:uid="{FAC7148A-6DFE-4CE4-8562-C9B42E76A85B}"/>
  </bookViews>
  <sheets>
    <sheet name="Will" sheetId="1" r:id="rId1"/>
    <sheet name="Jessica" sheetId="2" r:id="rId2"/>
    <sheet name="COST SPREAD" sheetId="4" r:id="rId3"/>
    <sheet name="JESS HR &amp; ACCT" sheetId="5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" i="4" l="1"/>
  <c r="E9" i="4"/>
  <c r="E12" i="4"/>
  <c r="N26" i="5" l="1"/>
  <c r="M26" i="5"/>
  <c r="M11" i="5" s="1"/>
  <c r="E26" i="5"/>
  <c r="O26" i="5" s="1"/>
  <c r="O25" i="5"/>
  <c r="O24" i="5"/>
  <c r="L23" i="5"/>
  <c r="O23" i="5" s="1"/>
  <c r="N22" i="5"/>
  <c r="M22" i="5"/>
  <c r="O22" i="5" s="1"/>
  <c r="O21" i="5"/>
  <c r="O19" i="5"/>
  <c r="O18" i="5"/>
  <c r="N18" i="5"/>
  <c r="M18" i="5"/>
  <c r="L18" i="5"/>
  <c r="K18" i="5"/>
  <c r="J18" i="5"/>
  <c r="I18" i="5"/>
  <c r="H18" i="5"/>
  <c r="G18" i="5"/>
  <c r="F18" i="5"/>
  <c r="E18" i="5"/>
  <c r="N15" i="5"/>
  <c r="M15" i="5"/>
  <c r="F15" i="5"/>
  <c r="N12" i="5"/>
  <c r="M12" i="5"/>
  <c r="L12" i="5"/>
  <c r="K12" i="5"/>
  <c r="J12" i="5"/>
  <c r="I12" i="5"/>
  <c r="H12" i="5"/>
  <c r="G12" i="5"/>
  <c r="O12" i="5" s="1"/>
  <c r="F12" i="5"/>
  <c r="E12" i="5"/>
  <c r="N11" i="5"/>
  <c r="L11" i="5"/>
  <c r="K11" i="5"/>
  <c r="J11" i="5"/>
  <c r="I11" i="5"/>
  <c r="H11" i="5"/>
  <c r="G11" i="5"/>
  <c r="F11" i="5"/>
  <c r="N10" i="5"/>
  <c r="M10" i="5"/>
  <c r="L10" i="5"/>
  <c r="K10" i="5"/>
  <c r="J10" i="5"/>
  <c r="I10" i="5"/>
  <c r="H10" i="5"/>
  <c r="G10" i="5"/>
  <c r="F10" i="5"/>
  <c r="E10" i="5"/>
  <c r="O10" i="5" s="1"/>
  <c r="O9" i="5"/>
  <c r="N2" i="5"/>
  <c r="M2" i="5"/>
  <c r="L2" i="5"/>
  <c r="K2" i="5"/>
  <c r="J2" i="5"/>
  <c r="I2" i="5"/>
  <c r="H2" i="5"/>
  <c r="G2" i="5"/>
  <c r="F2" i="5"/>
  <c r="E2" i="5"/>
  <c r="O2" i="5" l="1"/>
  <c r="E11" i="5"/>
  <c r="O11" i="5" s="1"/>
  <c r="E17" i="2" l="1"/>
  <c r="D17" i="2"/>
  <c r="C17" i="2"/>
  <c r="F17" i="2"/>
  <c r="B17" i="2"/>
  <c r="F17" i="1"/>
  <c r="E17" i="1"/>
  <c r="D17" i="1"/>
  <c r="C17" i="1"/>
  <c r="B17" i="1"/>
  <c r="G17" i="1" s="1"/>
  <c r="G16" i="2"/>
  <c r="E15" i="2"/>
  <c r="D15" i="2"/>
  <c r="C15" i="2"/>
  <c r="B15" i="2"/>
  <c r="G14" i="2"/>
  <c r="E13" i="2"/>
  <c r="D13" i="2"/>
  <c r="C13" i="2"/>
  <c r="E12" i="2"/>
  <c r="D12" i="2"/>
  <c r="C12" i="2"/>
  <c r="E11" i="2"/>
  <c r="D11" i="2"/>
  <c r="C11" i="2"/>
  <c r="E10" i="2"/>
  <c r="D10" i="2"/>
  <c r="C10" i="2"/>
  <c r="F9" i="2"/>
  <c r="E9" i="2"/>
  <c r="D9" i="2"/>
  <c r="C9" i="2"/>
  <c r="B9" i="2"/>
  <c r="G8" i="2"/>
  <c r="B19" i="2" l="1"/>
  <c r="F19" i="2"/>
  <c r="D3" i="5" s="1"/>
  <c r="G10" i="2"/>
  <c r="G13" i="2"/>
  <c r="G12" i="2"/>
  <c r="G11" i="2"/>
  <c r="G17" i="2"/>
  <c r="D19" i="2"/>
  <c r="E19" i="2"/>
  <c r="G15" i="2"/>
  <c r="C19" i="2"/>
  <c r="G9" i="2"/>
  <c r="G14" i="1"/>
  <c r="G16" i="1"/>
  <c r="G8" i="1"/>
  <c r="C15" i="1"/>
  <c r="D15" i="1"/>
  <c r="E15" i="1"/>
  <c r="B15" i="1"/>
  <c r="G15" i="1" s="1"/>
  <c r="I4" i="5" l="1"/>
  <c r="E4" i="5"/>
  <c r="K3" i="5"/>
  <c r="G3" i="5"/>
  <c r="N3" i="5"/>
  <c r="J3" i="5"/>
  <c r="F3" i="5"/>
  <c r="M4" i="5"/>
  <c r="M3" i="5"/>
  <c r="I3" i="5"/>
  <c r="E3" i="5"/>
  <c r="L3" i="5"/>
  <c r="H3" i="5"/>
  <c r="J4" i="5"/>
  <c r="L4" i="5"/>
  <c r="G4" i="5"/>
  <c r="F4" i="5"/>
  <c r="K4" i="5"/>
  <c r="N4" i="5"/>
  <c r="H4" i="5"/>
  <c r="D13" i="5"/>
  <c r="K8" i="5"/>
  <c r="G8" i="5"/>
  <c r="M7" i="5"/>
  <c r="I7" i="5"/>
  <c r="E7" i="5"/>
  <c r="N8" i="5"/>
  <c r="J8" i="5"/>
  <c r="F8" i="5"/>
  <c r="L7" i="5"/>
  <c r="H7" i="5"/>
  <c r="K6" i="5"/>
  <c r="M8" i="5"/>
  <c r="I8" i="5"/>
  <c r="E8" i="5"/>
  <c r="K7" i="5"/>
  <c r="G7" i="5"/>
  <c r="G6" i="5"/>
  <c r="L8" i="5"/>
  <c r="H8" i="5"/>
  <c r="N7" i="5"/>
  <c r="J7" i="5"/>
  <c r="F7" i="5"/>
  <c r="K5" i="5"/>
  <c r="H5" i="5"/>
  <c r="L6" i="5"/>
  <c r="E6" i="5"/>
  <c r="M5" i="5"/>
  <c r="N5" i="5"/>
  <c r="G5" i="5"/>
  <c r="I6" i="5"/>
  <c r="H6" i="5"/>
  <c r="F6" i="5"/>
  <c r="I5" i="5"/>
  <c r="J5" i="5"/>
  <c r="M6" i="5"/>
  <c r="J6" i="5"/>
  <c r="N6" i="5"/>
  <c r="E5" i="5"/>
  <c r="O5" i="5" s="1"/>
  <c r="F5" i="5"/>
  <c r="L5" i="5"/>
  <c r="E11" i="4"/>
  <c r="G19" i="2"/>
  <c r="E8" i="4"/>
  <c r="O3" i="5" l="1"/>
  <c r="E13" i="5"/>
  <c r="I13" i="5"/>
  <c r="O7" i="5"/>
  <c r="K13" i="5"/>
  <c r="E17" i="4" s="1"/>
  <c r="J13" i="5"/>
  <c r="E16" i="4" s="1"/>
  <c r="O4" i="5"/>
  <c r="O6" i="5"/>
  <c r="O8" i="5"/>
  <c r="F13" i="5"/>
  <c r="E13" i="4" s="1"/>
  <c r="H13" i="5"/>
  <c r="E15" i="4" s="1"/>
  <c r="M13" i="5"/>
  <c r="E19" i="4" s="1"/>
  <c r="N13" i="5"/>
  <c r="E20" i="4" s="1"/>
  <c r="G13" i="5"/>
  <c r="E14" i="4" s="1"/>
  <c r="L13" i="5"/>
  <c r="B9" i="1"/>
  <c r="D10" i="1"/>
  <c r="E10" i="1"/>
  <c r="D11" i="1"/>
  <c r="E11" i="1"/>
  <c r="D12" i="1"/>
  <c r="E12" i="1"/>
  <c r="D13" i="1"/>
  <c r="E13" i="1"/>
  <c r="C10" i="1"/>
  <c r="C11" i="1"/>
  <c r="G11" i="1" s="1"/>
  <c r="C12" i="1"/>
  <c r="G12" i="1" s="1"/>
  <c r="C13" i="1"/>
  <c r="G13" i="1" s="1"/>
  <c r="D9" i="1"/>
  <c r="E9" i="1"/>
  <c r="F9" i="1"/>
  <c r="F19" i="1" s="1"/>
  <c r="C9" i="1"/>
  <c r="C19" i="1" s="1"/>
  <c r="C20" i="4" l="1"/>
  <c r="C16" i="4"/>
  <c r="C19" i="4"/>
  <c r="C14" i="4"/>
  <c r="C13" i="4"/>
  <c r="G9" i="1"/>
  <c r="B19" i="1"/>
  <c r="E19" i="1"/>
  <c r="C11" i="4" s="1"/>
  <c r="D19" i="1"/>
  <c r="C12" i="4" s="1"/>
  <c r="G10" i="1"/>
  <c r="L14" i="5"/>
  <c r="E18" i="4"/>
  <c r="O13" i="5"/>
  <c r="D16" i="5" s="1"/>
  <c r="E10" i="4" s="1"/>
  <c r="E21" i="4" s="1"/>
  <c r="C8" i="4" l="1"/>
  <c r="C21" i="4" s="1"/>
  <c r="G1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tc={5A7DD1FE-8F38-472E-842B-F3F3008F822C}</author>
  </authors>
  <commentList>
    <comment ref="D2" authorId="0" shapeId="0" xr:uid="{5A7DD1FE-8F38-472E-842B-F3F3008F822C}">
      <text>
        <t>[Threaded comment]
Your version of Excel allows you to read this threaded comment; however, any edits to it will get removed if the file is opened in a newer version of Excel. Learn more: https://go.microsoft.com/fwlink/?linkid=870924
Comment:
    Add lobbying costs for FY23 budget dev (GCSI)</t>
      </text>
    </comment>
  </commentList>
</comments>
</file>

<file path=xl/sharedStrings.xml><?xml version="1.0" encoding="utf-8"?>
<sst xmlns="http://schemas.openxmlformats.org/spreadsheetml/2006/main" count="164" uniqueCount="88">
  <si>
    <t>SCIO TOWNSHIP</t>
  </si>
  <si>
    <t>MANAGEMENT PROPOSAL</t>
  </si>
  <si>
    <t>FROM SUPERVISOR HATHAWAY</t>
  </si>
  <si>
    <t>TOWNSHIP ADMINISTRATOR</t>
  </si>
  <si>
    <t>DEPUTY TREASURER</t>
  </si>
  <si>
    <t>SUSTAINABLE PROJECT MANAGER</t>
  </si>
  <si>
    <t>TOTAL</t>
  </si>
  <si>
    <t>WAGES</t>
  </si>
  <si>
    <t>FICA</t>
  </si>
  <si>
    <t>HEALTH INSURANCE</t>
  </si>
  <si>
    <t>SHORT TERM DISABILITY</t>
  </si>
  <si>
    <t>LONG TERM DISABILITY</t>
  </si>
  <si>
    <t>LIFE INSURANCE</t>
  </si>
  <si>
    <t>PART TIME HUMAN RESOURCES</t>
  </si>
  <si>
    <t>EMPLOYEE REIMBURSED HEALTH</t>
  </si>
  <si>
    <t>TOWNSHIP SUPERVISOR</t>
  </si>
  <si>
    <t>PENSION</t>
  </si>
  <si>
    <t>OPEB</t>
  </si>
  <si>
    <t>TOTAL ADDITIONAL COST</t>
  </si>
  <si>
    <t>FROM CLERK FLINTOFT</t>
  </si>
  <si>
    <t>SUSTAINABLE DEVELOPMENT MANAGER</t>
  </si>
  <si>
    <t>ADMINISTRATIVE SERVICES MANAGER</t>
  </si>
  <si>
    <t>WORKERS COMP INSURANCE</t>
  </si>
  <si>
    <t>101-191</t>
  </si>
  <si>
    <t>MULTIPLE</t>
  </si>
  <si>
    <t>101-253</t>
  </si>
  <si>
    <t>FUND/ACTIVITY</t>
  </si>
  <si>
    <t>101-101</t>
  </si>
  <si>
    <t>101-701</t>
  </si>
  <si>
    <t>GENERAL</t>
  </si>
  <si>
    <t>PLANNING</t>
  </si>
  <si>
    <t>FIRE</t>
  </si>
  <si>
    <t>PARKS &amp; PATHWAYS</t>
  </si>
  <si>
    <t>BUS</t>
  </si>
  <si>
    <t>LPC</t>
  </si>
  <si>
    <t>TWP ROAD</t>
  </si>
  <si>
    <t>SEWER</t>
  </si>
  <si>
    <t xml:space="preserve">WATER </t>
  </si>
  <si>
    <t>SUPERVISOR</t>
  </si>
  <si>
    <t>101-171</t>
  </si>
  <si>
    <t>ACCOUNTING</t>
  </si>
  <si>
    <t>TREASURER</t>
  </si>
  <si>
    <t>CLERK</t>
  </si>
  <si>
    <t>SIDE BY SIDE COMPARRISION</t>
  </si>
  <si>
    <t>NEW HIRE PLANS</t>
  </si>
  <si>
    <t>MAY 2021</t>
  </si>
  <si>
    <t>TWP ROAD SAD</t>
  </si>
  <si>
    <t>WATER</t>
  </si>
  <si>
    <t>PARKS &amp; PATHWAY</t>
  </si>
  <si>
    <t>Allocated Department</t>
  </si>
  <si>
    <t>Method of Allocation</t>
  </si>
  <si>
    <t>Level of Effort</t>
  </si>
  <si>
    <t>Dollars to be Allocated</t>
  </si>
  <si>
    <t>General Fund</t>
  </si>
  <si>
    <t>Fire Fund</t>
  </si>
  <si>
    <t>Parks &amp; Pathways Fund</t>
  </si>
  <si>
    <t>Bus Fund</t>
  </si>
  <si>
    <t>Tree Mitigation Fund</t>
  </si>
  <si>
    <t>Open Space Fund</t>
  </si>
  <si>
    <t>Public Improvement Fund</t>
  </si>
  <si>
    <t>Special Assessments Funds</t>
  </si>
  <si>
    <t>Sewer Fund</t>
  </si>
  <si>
    <t>Water Fund</t>
  </si>
  <si>
    <t>Total</t>
  </si>
  <si>
    <t>General Government</t>
  </si>
  <si>
    <t>$ spent in 2020</t>
  </si>
  <si>
    <t>Finance Director</t>
  </si>
  <si>
    <t># of employees</t>
  </si>
  <si>
    <t>Finance Manager</t>
  </si>
  <si>
    <t># of AP Checks</t>
  </si>
  <si>
    <t># of Cash Receipts</t>
  </si>
  <si>
    <t xml:space="preserve"> </t>
  </si>
  <si>
    <t>Finance Manager-exclude-covered by tax admin fee</t>
  </si>
  <si>
    <t>Millage/Special Assessment-based funds for tax levy</t>
  </si>
  <si>
    <t>Audit</t>
  </si>
  <si>
    <t>265-Building &amp; Grounds</t>
  </si>
  <si>
    <t>% of Township Hall space</t>
  </si>
  <si>
    <t>228-Technology</t>
  </si>
  <si>
    <t># of computers</t>
  </si>
  <si>
    <t>Previous Allocation</t>
  </si>
  <si>
    <t>FY2020 Expenditures/FY2022 Budget for Parks &amp; Pathways</t>
  </si>
  <si>
    <t>Yes</t>
  </si>
  <si>
    <t>No</t>
  </si>
  <si>
    <t>Size of fund balance/working capital</t>
  </si>
  <si>
    <t># of cash receipts</t>
  </si>
  <si>
    <t>PUBLIC IMPROVEMENT</t>
  </si>
  <si>
    <t>DIFFERENCE</t>
  </si>
  <si>
    <t>101-753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</si>
</sst>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rgb="FF0000FF"/>
      </bottom>
      <diagonal/>
    </border>
    <border>
      <left/>
      <right/>
      <top style="medium">
        <color rgb="FFFF000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wrapText="1"/>
    </xf>
    <xf numFmtId="40" fontId="0" fillId="0" borderId="0" xfId="0" applyNumberFormat="1"/>
    <xf numFmtId="40" fontId="0" fillId="0" borderId="0" xfId="0" applyNumberFormat="1" applyAlignment="1">
      <alignment wrapText="1"/>
    </xf>
    <xf numFmtId="40" fontId="0" fillId="0" borderId="2" xfId="0" applyNumberFormat="1" applyBorder="1"/>
    <xf numFmtId="40" fontId="0" fillId="0" borderId="1" xfId="0" applyNumberFormat="1" applyBorder="1" applyAlignment="1">
      <alignment horizontal="center" wrapText="1"/>
    </xf>
    <xf numFmtId="0" fontId="0" fillId="0" borderId="0" xfId="0" applyAlignment="1">
      <alignment horizontal="center"/>
    </xf>
    <xf numFmtId="38" fontId="0" fillId="0" borderId="0" xfId="0" applyNumberFormat="1" applyAlignment="1">
      <alignment horizontal="center"/>
    </xf>
    <xf numFmtId="40" fontId="0" fillId="0" borderId="0" xfId="0" applyNumberFormat="1" applyBorder="1"/>
    <xf numFmtId="0" fontId="0" fillId="0" borderId="0" xfId="0" applyBorder="1"/>
    <xf numFmtId="40" fontId="0" fillId="0" borderId="0" xfId="0" applyNumberFormat="1" applyAlignment="1">
      <alignment horizontal="center"/>
    </xf>
    <xf numFmtId="10" fontId="0" fillId="0" borderId="0" xfId="0" applyNumberFormat="1"/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center" wrapText="1"/>
    </xf>
    <xf numFmtId="9" fontId="0" fillId="0" borderId="0" xfId="3" applyFont="1"/>
    <xf numFmtId="164" fontId="0" fillId="0" borderId="0" xfId="2" applyNumberFormat="1" applyFont="1" applyFill="1"/>
    <xf numFmtId="164" fontId="0" fillId="0" borderId="0" xfId="2" applyNumberFormat="1" applyFont="1"/>
    <xf numFmtId="164" fontId="0" fillId="0" borderId="0" xfId="0" applyNumberFormat="1"/>
    <xf numFmtId="9" fontId="0" fillId="2" borderId="4" xfId="3" applyFont="1" applyFill="1" applyBorder="1"/>
    <xf numFmtId="164" fontId="0" fillId="0" borderId="5" xfId="2" applyNumberFormat="1" applyFont="1" applyFill="1" applyBorder="1"/>
    <xf numFmtId="164" fontId="0" fillId="3" borderId="0" xfId="2" applyNumberFormat="1" applyFont="1" applyFill="1"/>
    <xf numFmtId="9" fontId="0" fillId="2" borderId="6" xfId="3" applyFont="1" applyFill="1" applyBorder="1"/>
    <xf numFmtId="164" fontId="0" fillId="0" borderId="7" xfId="2" applyNumberFormat="1" applyFont="1" applyFill="1" applyBorder="1"/>
    <xf numFmtId="9" fontId="0" fillId="0" borderId="4" xfId="3" applyFont="1" applyFill="1" applyBorder="1"/>
    <xf numFmtId="9" fontId="0" fillId="0" borderId="6" xfId="3" applyFont="1" applyFill="1" applyBorder="1"/>
    <xf numFmtId="9" fontId="0" fillId="0" borderId="8" xfId="3" applyFont="1" applyFill="1" applyBorder="1"/>
    <xf numFmtId="164" fontId="0" fillId="0" borderId="9" xfId="2" applyNumberFormat="1" applyFont="1" applyFill="1" applyBorder="1"/>
    <xf numFmtId="9" fontId="0" fillId="0" borderId="0" xfId="3" applyFont="1" applyFill="1"/>
    <xf numFmtId="164" fontId="0" fillId="0" borderId="0" xfId="2" applyNumberFormat="1" applyFont="1" applyFill="1" applyBorder="1"/>
    <xf numFmtId="164" fontId="0" fillId="0" borderId="10" xfId="0" applyNumberFormat="1" applyBorder="1"/>
    <xf numFmtId="164" fontId="0" fillId="0" borderId="0" xfId="0" applyNumberFormat="1" applyAlignment="1">
      <alignment horizontal="center"/>
    </xf>
    <xf numFmtId="0" fontId="0" fillId="2" borderId="0" xfId="0" applyFill="1"/>
    <xf numFmtId="43" fontId="0" fillId="0" borderId="0" xfId="1" applyFont="1" applyBorder="1"/>
    <xf numFmtId="9" fontId="0" fillId="0" borderId="0" xfId="3" applyFont="1" applyBorder="1"/>
    <xf numFmtId="9" fontId="0" fillId="0" borderId="0" xfId="3" applyFont="1" applyBorder="1" applyAlignment="1">
      <alignment horizontal="center"/>
    </xf>
    <xf numFmtId="0" fontId="0" fillId="4" borderId="0" xfId="0" applyFill="1"/>
    <xf numFmtId="164" fontId="0" fillId="4" borderId="0" xfId="0" applyNumberFormat="1" applyFill="1"/>
    <xf numFmtId="0" fontId="2" fillId="0" borderId="0" xfId="0" applyFont="1" applyAlignment="1">
      <alignment horizontal="center"/>
    </xf>
    <xf numFmtId="164" fontId="0" fillId="5" borderId="0" xfId="2" applyNumberFormat="1" applyFont="1" applyFill="1"/>
    <xf numFmtId="164" fontId="0" fillId="2" borderId="0" xfId="2" applyNumberFormat="1" applyFont="1" applyFill="1"/>
    <xf numFmtId="0" fontId="0" fillId="5" borderId="0" xfId="0" applyFill="1" applyAlignment="1">
      <alignment horizontal="center"/>
    </xf>
    <xf numFmtId="0" fontId="0" fillId="5" borderId="0" xfId="1" applyNumberFormat="1" applyFont="1" applyFill="1" applyAlignment="1">
      <alignment horizontal="center"/>
    </xf>
    <xf numFmtId="9" fontId="0" fillId="5" borderId="0" xfId="3" applyFont="1" applyFill="1" applyAlignment="1">
      <alignment horizontal="center"/>
    </xf>
    <xf numFmtId="9" fontId="0" fillId="0" borderId="0" xfId="3" applyFont="1" applyAlignment="1">
      <alignment horizontal="center"/>
    </xf>
    <xf numFmtId="0" fontId="0" fillId="6" borderId="0" xfId="0" applyFill="1"/>
    <xf numFmtId="0" fontId="0" fillId="0" borderId="0" xfId="0" applyAlignment="1">
      <alignment horizontal="center"/>
    </xf>
    <xf numFmtId="17" fontId="0" fillId="0" borderId="0" xfId="0" quotePrefix="1" applyNumberFormat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ScioOrg/Admin/Finance/Shared%20Documents/Accounting%20Documents/COST%20ALLOCATION/Copy%20of%20Cost%20Allocation%20Plan-FY22%20workbook%20for%20Sc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s &amp; Units of Allocation"/>
      <sheetName val="Method of Allocation"/>
      <sheetName val="Costs to be Allocated"/>
      <sheetName val="Previous Time Allocation"/>
      <sheetName val="Other Allocations"/>
    </sheetNames>
    <sheetDataSet>
      <sheetData sheetId="0"/>
      <sheetData sheetId="1"/>
      <sheetData sheetId="2">
        <row r="10">
          <cell r="C10">
            <v>122654</v>
          </cell>
        </row>
        <row r="11">
          <cell r="C11">
            <v>133058</v>
          </cell>
        </row>
      </sheetData>
      <sheetData sheetId="3"/>
      <sheetData sheetId="4">
        <row r="2">
          <cell r="C2">
            <v>6000</v>
          </cell>
          <cell r="J2">
            <v>8600</v>
          </cell>
          <cell r="K2">
            <v>8600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Karen Lancaster" id="{CB4360CF-F731-4C56-8F61-9072F3A0F3EB}" userId="Karen Lancaster" providerId="Non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" dT="2021-04-15T15:47:45.04" personId="{CB4360CF-F731-4C56-8F61-9072F3A0F3EB}" id="{5A7DD1FE-8F38-472E-842B-F3F3008F822C}">
    <text>Add lobbying costs for FY23 budget dev (GCSI)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F1B259-3742-4C57-B7C1-1623CCF86B65}">
  <dimension ref="A1:J31"/>
  <sheetViews>
    <sheetView topLeftCell="A13" workbookViewId="0">
      <selection activeCell="D25" sqref="D25"/>
    </sheetView>
  </sheetViews>
  <sheetFormatPr defaultRowHeight="14.5" x14ac:dyDescent="0.35"/>
  <cols>
    <col min="1" max="1" width="30.453125" customWidth="1"/>
    <col min="2" max="2" width="16.26953125" style="3" customWidth="1"/>
    <col min="3" max="3" width="20.1796875" style="3" customWidth="1"/>
    <col min="4" max="4" width="19.7265625" style="3" customWidth="1"/>
    <col min="5" max="5" width="18.453125" style="3" customWidth="1"/>
    <col min="6" max="6" width="16" style="3" customWidth="1"/>
    <col min="7" max="7" width="12.6328125" style="3" customWidth="1"/>
    <col min="8" max="10" width="8.7265625" style="3"/>
  </cols>
  <sheetData>
    <row r="1" spans="1:10" x14ac:dyDescent="0.35">
      <c r="A1" t="s">
        <v>0</v>
      </c>
    </row>
    <row r="2" spans="1:10" x14ac:dyDescent="0.35">
      <c r="A2" t="s">
        <v>1</v>
      </c>
    </row>
    <row r="3" spans="1:10" x14ac:dyDescent="0.35">
      <c r="A3" t="s">
        <v>2</v>
      </c>
    </row>
    <row r="5" spans="1:10" x14ac:dyDescent="0.35">
      <c r="A5" t="s">
        <v>26</v>
      </c>
      <c r="B5" s="3" t="s">
        <v>23</v>
      </c>
      <c r="C5" s="3" t="s">
        <v>24</v>
      </c>
      <c r="D5" s="3" t="s">
        <v>25</v>
      </c>
      <c r="E5" s="3" t="s">
        <v>24</v>
      </c>
      <c r="F5" s="3" t="s">
        <v>24</v>
      </c>
    </row>
    <row r="6" spans="1:10" s="1" customFormat="1" ht="44" thickBot="1" x14ac:dyDescent="0.4">
      <c r="A6" s="2"/>
      <c r="B6" s="6" t="s">
        <v>15</v>
      </c>
      <c r="C6" s="6" t="s">
        <v>3</v>
      </c>
      <c r="D6" s="6" t="s">
        <v>4</v>
      </c>
      <c r="E6" s="6" t="s">
        <v>5</v>
      </c>
      <c r="F6" s="6" t="s">
        <v>13</v>
      </c>
      <c r="G6" s="6" t="s">
        <v>6</v>
      </c>
      <c r="H6" s="4"/>
      <c r="I6" s="4"/>
      <c r="J6" s="4"/>
    </row>
    <row r="7" spans="1:10" ht="15" thickTop="1" x14ac:dyDescent="0.35"/>
    <row r="8" spans="1:10" x14ac:dyDescent="0.35">
      <c r="A8" t="s">
        <v>7</v>
      </c>
      <c r="B8" s="3">
        <v>36000</v>
      </c>
      <c r="C8" s="3">
        <v>104000</v>
      </c>
      <c r="D8" s="3">
        <v>57700</v>
      </c>
      <c r="E8" s="3">
        <v>72000</v>
      </c>
      <c r="F8" s="3">
        <v>52000</v>
      </c>
      <c r="G8" s="3">
        <f>SUM(B8:F8)</f>
        <v>321700</v>
      </c>
    </row>
    <row r="9" spans="1:10" x14ac:dyDescent="0.35">
      <c r="A9" t="s">
        <v>8</v>
      </c>
      <c r="B9" s="3">
        <f>SUM(B8*7.65%)</f>
        <v>2754</v>
      </c>
      <c r="C9" s="3">
        <f>SUM(C8*7.65%)</f>
        <v>7956</v>
      </c>
      <c r="D9" s="3">
        <f t="shared" ref="D9:F9" si="0">SUM(D8*7.65%)</f>
        <v>4414.05</v>
      </c>
      <c r="E9" s="3">
        <f t="shared" si="0"/>
        <v>5508</v>
      </c>
      <c r="F9" s="3">
        <f t="shared" si="0"/>
        <v>3978</v>
      </c>
      <c r="G9" s="3">
        <f t="shared" ref="G9:G17" si="1">SUM(B9:F9)</f>
        <v>24610.05</v>
      </c>
    </row>
    <row r="10" spans="1:10" x14ac:dyDescent="0.35">
      <c r="A10" t="s">
        <v>9</v>
      </c>
      <c r="C10" s="3">
        <f>2250*12</f>
        <v>27000</v>
      </c>
      <c r="D10" s="3">
        <f t="shared" ref="D10:E10" si="2">2250*12</f>
        <v>27000</v>
      </c>
      <c r="E10" s="3">
        <f t="shared" si="2"/>
        <v>27000</v>
      </c>
      <c r="G10" s="3">
        <f t="shared" si="1"/>
        <v>81000</v>
      </c>
    </row>
    <row r="11" spans="1:10" x14ac:dyDescent="0.35">
      <c r="A11" t="s">
        <v>10</v>
      </c>
      <c r="C11" s="3">
        <f>34.2*12</f>
        <v>410.40000000000003</v>
      </c>
      <c r="D11" s="3">
        <f t="shared" ref="D11:E11" si="3">34.2*12</f>
        <v>410.40000000000003</v>
      </c>
      <c r="E11" s="3">
        <f t="shared" si="3"/>
        <v>410.40000000000003</v>
      </c>
      <c r="G11" s="3">
        <f t="shared" si="1"/>
        <v>1231.2</v>
      </c>
    </row>
    <row r="12" spans="1:10" x14ac:dyDescent="0.35">
      <c r="A12" t="s">
        <v>11</v>
      </c>
      <c r="C12" s="3">
        <f>70.75*12</f>
        <v>849</v>
      </c>
      <c r="D12" s="3">
        <f t="shared" ref="D12:E12" si="4">70.75*12</f>
        <v>849</v>
      </c>
      <c r="E12" s="3">
        <f t="shared" si="4"/>
        <v>849</v>
      </c>
      <c r="G12" s="3">
        <f t="shared" si="1"/>
        <v>2547</v>
      </c>
    </row>
    <row r="13" spans="1:10" x14ac:dyDescent="0.35">
      <c r="A13" t="s">
        <v>12</v>
      </c>
      <c r="C13" s="3">
        <f>40*12</f>
        <v>480</v>
      </c>
      <c r="D13" s="3">
        <f t="shared" ref="D13:E13" si="5">40*12</f>
        <v>480</v>
      </c>
      <c r="E13" s="3">
        <f t="shared" si="5"/>
        <v>480</v>
      </c>
      <c r="G13" s="3">
        <f t="shared" si="1"/>
        <v>1440</v>
      </c>
    </row>
    <row r="14" spans="1:10" x14ac:dyDescent="0.35">
      <c r="A14" t="s">
        <v>14</v>
      </c>
      <c r="C14" s="3">
        <v>2215</v>
      </c>
      <c r="D14" s="3">
        <v>2215</v>
      </c>
      <c r="E14" s="3">
        <v>2215</v>
      </c>
      <c r="G14" s="3">
        <f t="shared" si="1"/>
        <v>6645</v>
      </c>
    </row>
    <row r="15" spans="1:10" x14ac:dyDescent="0.35">
      <c r="A15" t="s">
        <v>16</v>
      </c>
      <c r="B15" s="3">
        <f>SUM(B8*8%)</f>
        <v>2880</v>
      </c>
      <c r="C15" s="3">
        <f t="shared" ref="C15:E15" si="6">SUM(C8*8%)</f>
        <v>8320</v>
      </c>
      <c r="D15" s="3">
        <f t="shared" si="6"/>
        <v>4616</v>
      </c>
      <c r="E15" s="3">
        <f t="shared" si="6"/>
        <v>5760</v>
      </c>
      <c r="G15" s="3">
        <f t="shared" si="1"/>
        <v>21576</v>
      </c>
    </row>
    <row r="16" spans="1:10" x14ac:dyDescent="0.35">
      <c r="A16" t="s">
        <v>17</v>
      </c>
      <c r="C16" s="3">
        <v>7022</v>
      </c>
      <c r="D16" s="3">
        <v>7022</v>
      </c>
      <c r="E16" s="3">
        <v>7022</v>
      </c>
      <c r="G16" s="3">
        <f t="shared" si="1"/>
        <v>21066</v>
      </c>
    </row>
    <row r="17" spans="1:7" x14ac:dyDescent="0.35">
      <c r="A17" t="s">
        <v>22</v>
      </c>
      <c r="B17" s="3">
        <f>SUM(B8/100*1.52)-191.52</f>
        <v>355.68000000000006</v>
      </c>
      <c r="C17" s="3">
        <f>SUM(C8/100*1.52)-553</f>
        <v>1027.8</v>
      </c>
      <c r="D17" s="3">
        <f>SUM(D8/100*0.16)-32.2</f>
        <v>60.120000000000005</v>
      </c>
      <c r="E17" s="3">
        <f>SUM(E8/100*1.52)-382.9</f>
        <v>711.50000000000011</v>
      </c>
      <c r="F17" s="3">
        <f>SUM(F8/100*0.16)-29.12</f>
        <v>54.08</v>
      </c>
      <c r="G17" s="3">
        <f t="shared" si="1"/>
        <v>2209.1799999999998</v>
      </c>
    </row>
    <row r="18" spans="1:7" ht="15" thickBot="1" x14ac:dyDescent="0.4"/>
    <row r="19" spans="1:7" x14ac:dyDescent="0.35">
      <c r="A19" t="s">
        <v>18</v>
      </c>
      <c r="B19" s="5">
        <f>SUM(B8:B18)</f>
        <v>41989.68</v>
      </c>
      <c r="C19" s="5">
        <f t="shared" ref="C19:G19" si="7">SUM(C8:C18)</f>
        <v>159280.19999999998</v>
      </c>
      <c r="D19" s="5">
        <f t="shared" si="7"/>
        <v>104766.56999999999</v>
      </c>
      <c r="E19" s="5">
        <f t="shared" si="7"/>
        <v>121955.9</v>
      </c>
      <c r="F19" s="5">
        <f t="shared" si="7"/>
        <v>56032.08</v>
      </c>
      <c r="G19" s="5">
        <f t="shared" si="7"/>
        <v>484024.43</v>
      </c>
    </row>
    <row r="22" spans="1:7" x14ac:dyDescent="0.35">
      <c r="A22" s="14" t="s">
        <v>27</v>
      </c>
      <c r="B22" s="3" t="s">
        <v>29</v>
      </c>
      <c r="C22" s="12">
        <v>0.25</v>
      </c>
      <c r="D22" s="12"/>
      <c r="E22" s="12">
        <v>0.15</v>
      </c>
      <c r="F22" s="12">
        <v>0.5</v>
      </c>
    </row>
    <row r="23" spans="1:7" x14ac:dyDescent="0.35">
      <c r="A23" s="14" t="s">
        <v>39</v>
      </c>
      <c r="B23" s="3" t="s">
        <v>30</v>
      </c>
      <c r="C23" s="12"/>
      <c r="D23" s="12"/>
      <c r="E23" s="12">
        <v>0.25</v>
      </c>
      <c r="F23" s="12"/>
    </row>
    <row r="24" spans="1:7" x14ac:dyDescent="0.35">
      <c r="A24" s="14" t="s">
        <v>25</v>
      </c>
      <c r="B24" s="3" t="s">
        <v>41</v>
      </c>
      <c r="C24" s="12"/>
      <c r="D24" s="12">
        <v>1</v>
      </c>
      <c r="E24" s="12"/>
      <c r="F24" s="12"/>
    </row>
    <row r="25" spans="1:7" x14ac:dyDescent="0.35">
      <c r="A25" s="14">
        <v>206</v>
      </c>
      <c r="B25" s="3" t="s">
        <v>31</v>
      </c>
      <c r="C25" s="12">
        <v>0.25</v>
      </c>
      <c r="D25" s="12"/>
      <c r="E25" s="12"/>
      <c r="F25" s="12">
        <v>0.2</v>
      </c>
    </row>
    <row r="26" spans="1:7" x14ac:dyDescent="0.35">
      <c r="A26" s="14">
        <v>208</v>
      </c>
      <c r="B26" s="3" t="s">
        <v>48</v>
      </c>
      <c r="C26" s="12">
        <v>0.125</v>
      </c>
      <c r="D26" s="12"/>
      <c r="E26" s="12">
        <v>0.6</v>
      </c>
      <c r="F26" s="12"/>
    </row>
    <row r="27" spans="1:7" x14ac:dyDescent="0.35">
      <c r="A27" s="14">
        <v>2330</v>
      </c>
      <c r="B27" s="3" t="s">
        <v>33</v>
      </c>
      <c r="C27" s="12"/>
      <c r="D27" s="12"/>
      <c r="E27" s="12">
        <v>0</v>
      </c>
      <c r="F27" s="12"/>
    </row>
    <row r="28" spans="1:7" x14ac:dyDescent="0.35">
      <c r="A28" s="14">
        <v>242</v>
      </c>
      <c r="B28" s="3" t="s">
        <v>34</v>
      </c>
      <c r="C28" s="12">
        <v>0.125</v>
      </c>
      <c r="D28" s="12"/>
      <c r="E28" s="12"/>
      <c r="F28" s="12"/>
    </row>
    <row r="29" spans="1:7" x14ac:dyDescent="0.35">
      <c r="A29" s="14">
        <v>400</v>
      </c>
      <c r="B29" s="3" t="s">
        <v>46</v>
      </c>
      <c r="C29" s="12"/>
      <c r="D29" s="12"/>
      <c r="E29" s="12">
        <v>0</v>
      </c>
      <c r="F29" s="12"/>
    </row>
    <row r="30" spans="1:7" x14ac:dyDescent="0.35">
      <c r="A30" s="14">
        <v>590</v>
      </c>
      <c r="B30" s="3" t="s">
        <v>36</v>
      </c>
      <c r="C30" s="12">
        <v>0.125</v>
      </c>
      <c r="D30" s="12"/>
      <c r="E30" s="12"/>
      <c r="F30" s="12">
        <v>0.15</v>
      </c>
    </row>
    <row r="31" spans="1:7" x14ac:dyDescent="0.35">
      <c r="A31" s="14">
        <v>591</v>
      </c>
      <c r="B31" s="3" t="s">
        <v>47</v>
      </c>
      <c r="C31" s="12">
        <v>0.125</v>
      </c>
      <c r="D31" s="12"/>
      <c r="E31" s="12"/>
      <c r="F31" s="12">
        <v>0.15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0C0D4-9E50-4692-AA0C-636AB0FB53CF}">
  <dimension ref="A1:J38"/>
  <sheetViews>
    <sheetView topLeftCell="A13" workbookViewId="0">
      <selection activeCell="D24" sqref="D24"/>
    </sheetView>
  </sheetViews>
  <sheetFormatPr defaultRowHeight="14.5" x14ac:dyDescent="0.35"/>
  <cols>
    <col min="1" max="1" width="30.453125" customWidth="1"/>
    <col min="2" max="2" width="16.26953125" style="3" customWidth="1"/>
    <col min="3" max="3" width="20.1796875" style="3" customWidth="1"/>
    <col min="4" max="4" width="19.7265625" style="3" customWidth="1"/>
    <col min="5" max="5" width="18.453125" style="3" customWidth="1"/>
    <col min="6" max="6" width="16" style="3" customWidth="1"/>
    <col min="7" max="7" width="12.6328125" style="3" customWidth="1"/>
    <col min="8" max="10" width="8.7265625" style="3"/>
  </cols>
  <sheetData>
    <row r="1" spans="1:10" x14ac:dyDescent="0.35">
      <c r="A1" t="s">
        <v>0</v>
      </c>
    </row>
    <row r="2" spans="1:10" x14ac:dyDescent="0.35">
      <c r="A2" t="s">
        <v>1</v>
      </c>
    </row>
    <row r="3" spans="1:10" x14ac:dyDescent="0.35">
      <c r="A3" t="s">
        <v>19</v>
      </c>
    </row>
    <row r="5" spans="1:10" x14ac:dyDescent="0.35">
      <c r="A5" t="s">
        <v>26</v>
      </c>
      <c r="B5" s="11" t="s">
        <v>23</v>
      </c>
      <c r="C5" s="11" t="s">
        <v>24</v>
      </c>
      <c r="D5" s="11" t="s">
        <v>25</v>
      </c>
      <c r="E5" s="11" t="s">
        <v>24</v>
      </c>
      <c r="F5" s="11" t="s">
        <v>24</v>
      </c>
    </row>
    <row r="6" spans="1:10" s="1" customFormat="1" ht="44" thickBot="1" x14ac:dyDescent="0.4">
      <c r="A6" s="2"/>
      <c r="B6" s="6" t="s">
        <v>15</v>
      </c>
      <c r="C6" s="6" t="s">
        <v>21</v>
      </c>
      <c r="D6" s="6" t="s">
        <v>4</v>
      </c>
      <c r="E6" s="6" t="s">
        <v>20</v>
      </c>
      <c r="F6" s="6" t="s">
        <v>13</v>
      </c>
      <c r="G6" s="6" t="s">
        <v>6</v>
      </c>
      <c r="H6" s="4"/>
      <c r="I6" s="4"/>
      <c r="J6" s="4"/>
    </row>
    <row r="7" spans="1:10" ht="15" thickTop="1" x14ac:dyDescent="0.35"/>
    <row r="8" spans="1:10" x14ac:dyDescent="0.35">
      <c r="A8" t="s">
        <v>7</v>
      </c>
      <c r="B8" s="3">
        <v>36000</v>
      </c>
      <c r="C8" s="3">
        <v>84000</v>
      </c>
      <c r="D8" s="3">
        <v>50000</v>
      </c>
      <c r="E8" s="3">
        <v>72000</v>
      </c>
      <c r="F8" s="3">
        <v>52000</v>
      </c>
      <c r="G8" s="3">
        <f>SUM(B8:F8)</f>
        <v>294000</v>
      </c>
    </row>
    <row r="9" spans="1:10" x14ac:dyDescent="0.35">
      <c r="A9" t="s">
        <v>8</v>
      </c>
      <c r="B9" s="3">
        <f>SUM(B8*7.65%)</f>
        <v>2754</v>
      </c>
      <c r="C9" s="3">
        <f>SUM(C8*7.65%)</f>
        <v>6426</v>
      </c>
      <c r="D9" s="3">
        <f t="shared" ref="D9:F9" si="0">SUM(D8*7.65%)</f>
        <v>3825</v>
      </c>
      <c r="E9" s="3">
        <f t="shared" si="0"/>
        <v>5508</v>
      </c>
      <c r="F9" s="3">
        <f t="shared" si="0"/>
        <v>3978</v>
      </c>
      <c r="G9" s="3">
        <f t="shared" ref="G9:G17" si="1">SUM(B9:F9)</f>
        <v>22491</v>
      </c>
    </row>
    <row r="10" spans="1:10" x14ac:dyDescent="0.35">
      <c r="A10" t="s">
        <v>9</v>
      </c>
      <c r="C10" s="3">
        <f>2250*12</f>
        <v>27000</v>
      </c>
      <c r="D10" s="3">
        <f t="shared" ref="D10:E10" si="2">2250*12</f>
        <v>27000</v>
      </c>
      <c r="E10" s="3">
        <f t="shared" si="2"/>
        <v>27000</v>
      </c>
      <c r="G10" s="3">
        <f t="shared" si="1"/>
        <v>81000</v>
      </c>
    </row>
    <row r="11" spans="1:10" x14ac:dyDescent="0.35">
      <c r="A11" t="s">
        <v>10</v>
      </c>
      <c r="C11" s="3">
        <f>34.2*12</f>
        <v>410.40000000000003</v>
      </c>
      <c r="D11" s="3">
        <f t="shared" ref="D11:E11" si="3">34.2*12</f>
        <v>410.40000000000003</v>
      </c>
      <c r="E11" s="3">
        <f t="shared" si="3"/>
        <v>410.40000000000003</v>
      </c>
      <c r="G11" s="3">
        <f t="shared" si="1"/>
        <v>1231.2</v>
      </c>
    </row>
    <row r="12" spans="1:10" x14ac:dyDescent="0.35">
      <c r="A12" t="s">
        <v>11</v>
      </c>
      <c r="C12" s="3">
        <f>70.75*12</f>
        <v>849</v>
      </c>
      <c r="D12" s="3">
        <f t="shared" ref="D12:E12" si="4">70.75*12</f>
        <v>849</v>
      </c>
      <c r="E12" s="3">
        <f t="shared" si="4"/>
        <v>849</v>
      </c>
      <c r="G12" s="3">
        <f t="shared" si="1"/>
        <v>2547</v>
      </c>
    </row>
    <row r="13" spans="1:10" x14ac:dyDescent="0.35">
      <c r="A13" t="s">
        <v>12</v>
      </c>
      <c r="C13" s="3">
        <f>40*12</f>
        <v>480</v>
      </c>
      <c r="D13" s="3">
        <f t="shared" ref="D13:E13" si="5">40*12</f>
        <v>480</v>
      </c>
      <c r="E13" s="3">
        <f t="shared" si="5"/>
        <v>480</v>
      </c>
      <c r="G13" s="3">
        <f t="shared" si="1"/>
        <v>1440</v>
      </c>
    </row>
    <row r="14" spans="1:10" x14ac:dyDescent="0.35">
      <c r="A14" t="s">
        <v>14</v>
      </c>
      <c r="C14" s="3">
        <v>2215</v>
      </c>
      <c r="D14" s="3">
        <v>2215</v>
      </c>
      <c r="E14" s="3">
        <v>2215</v>
      </c>
      <c r="G14" s="3">
        <f t="shared" si="1"/>
        <v>6645</v>
      </c>
    </row>
    <row r="15" spans="1:10" x14ac:dyDescent="0.35">
      <c r="A15" t="s">
        <v>16</v>
      </c>
      <c r="B15" s="3">
        <f>SUM(B8*8%)</f>
        <v>2880</v>
      </c>
      <c r="C15" s="3">
        <f t="shared" ref="C15:E15" si="6">SUM(C8*8%)</f>
        <v>6720</v>
      </c>
      <c r="D15" s="3">
        <f t="shared" si="6"/>
        <v>4000</v>
      </c>
      <c r="E15" s="3">
        <f t="shared" si="6"/>
        <v>5760</v>
      </c>
      <c r="G15" s="3">
        <f t="shared" si="1"/>
        <v>19360</v>
      </c>
    </row>
    <row r="16" spans="1:10" x14ac:dyDescent="0.35">
      <c r="A16" t="s">
        <v>17</v>
      </c>
      <c r="C16" s="3">
        <v>7022</v>
      </c>
      <c r="D16" s="3">
        <v>7022</v>
      </c>
      <c r="E16" s="3">
        <v>7022</v>
      </c>
      <c r="G16" s="3">
        <f t="shared" si="1"/>
        <v>21066</v>
      </c>
    </row>
    <row r="17" spans="1:7" x14ac:dyDescent="0.35">
      <c r="A17" t="s">
        <v>22</v>
      </c>
      <c r="B17" s="3">
        <f>SUM(B8/100*1.52)-191.52</f>
        <v>355.68000000000006</v>
      </c>
      <c r="C17" s="3">
        <f>SUM(C8/100*1.52)-446.88</f>
        <v>829.92</v>
      </c>
      <c r="D17" s="3">
        <f>SUM(D8/100*0.16)-28</f>
        <v>52</v>
      </c>
      <c r="E17" s="3">
        <f>SUM(E8/100*1.52)-382.9</f>
        <v>711.50000000000011</v>
      </c>
      <c r="F17" s="3">
        <f>SUM(F8/100*0.16)-29.12</f>
        <v>54.08</v>
      </c>
      <c r="G17" s="3">
        <f t="shared" si="1"/>
        <v>2003.1799999999998</v>
      </c>
    </row>
    <row r="18" spans="1:7" ht="15" thickBot="1" x14ac:dyDescent="0.4"/>
    <row r="19" spans="1:7" x14ac:dyDescent="0.35">
      <c r="A19" t="s">
        <v>18</v>
      </c>
      <c r="B19" s="5">
        <f>SUM(B8:B18)</f>
        <v>41989.68</v>
      </c>
      <c r="C19" s="5">
        <f t="shared" ref="C19:G19" si="7">SUM(C8:C18)</f>
        <v>135952.32000000001</v>
      </c>
      <c r="D19" s="5">
        <f t="shared" si="7"/>
        <v>95853.4</v>
      </c>
      <c r="E19" s="5">
        <f t="shared" si="7"/>
        <v>121955.9</v>
      </c>
      <c r="F19" s="5">
        <f t="shared" si="7"/>
        <v>56032.08</v>
      </c>
      <c r="G19" s="5">
        <f t="shared" si="7"/>
        <v>451783.38</v>
      </c>
    </row>
    <row r="21" spans="1:7" x14ac:dyDescent="0.35">
      <c r="A21" s="14" t="s">
        <v>27</v>
      </c>
      <c r="B21" s="3" t="s">
        <v>29</v>
      </c>
      <c r="C21" s="12">
        <v>0.25</v>
      </c>
      <c r="D21" s="12"/>
      <c r="F21" s="12"/>
    </row>
    <row r="22" spans="1:7" x14ac:dyDescent="0.35">
      <c r="A22" s="14" t="s">
        <v>39</v>
      </c>
      <c r="B22" s="3" t="s">
        <v>30</v>
      </c>
      <c r="C22" s="12"/>
      <c r="D22" s="12"/>
      <c r="E22" s="12">
        <v>0.25</v>
      </c>
      <c r="F22" s="12"/>
    </row>
    <row r="23" spans="1:7" x14ac:dyDescent="0.35">
      <c r="A23" s="14" t="s">
        <v>87</v>
      </c>
      <c r="B23" s="3" t="s">
        <v>41</v>
      </c>
      <c r="C23" s="12"/>
      <c r="D23" s="12">
        <v>1</v>
      </c>
      <c r="E23" s="12"/>
      <c r="F23" s="12"/>
    </row>
    <row r="24" spans="1:7" x14ac:dyDescent="0.35">
      <c r="A24" s="14">
        <v>206</v>
      </c>
      <c r="B24" s="3" t="s">
        <v>31</v>
      </c>
      <c r="C24" s="12">
        <v>0.25</v>
      </c>
      <c r="D24" s="12"/>
      <c r="E24" s="12"/>
      <c r="F24" s="12"/>
    </row>
    <row r="25" spans="1:7" x14ac:dyDescent="0.35">
      <c r="A25" s="14">
        <v>208</v>
      </c>
      <c r="B25" s="3" t="s">
        <v>48</v>
      </c>
      <c r="C25" s="12">
        <v>0.125</v>
      </c>
      <c r="D25" s="12"/>
      <c r="E25" s="12">
        <v>0.6</v>
      </c>
      <c r="F25" s="12"/>
    </row>
    <row r="26" spans="1:7" x14ac:dyDescent="0.35">
      <c r="A26" s="14">
        <v>2330</v>
      </c>
      <c r="B26" s="3" t="s">
        <v>33</v>
      </c>
      <c r="C26" s="12"/>
      <c r="D26" s="12"/>
      <c r="E26" s="12">
        <v>0.05</v>
      </c>
      <c r="F26" s="12"/>
    </row>
    <row r="27" spans="1:7" x14ac:dyDescent="0.35">
      <c r="A27" s="14">
        <v>242</v>
      </c>
      <c r="B27" s="3" t="s">
        <v>34</v>
      </c>
      <c r="C27" s="12">
        <v>0.125</v>
      </c>
      <c r="D27" s="12"/>
      <c r="E27" s="12"/>
      <c r="F27" s="12"/>
    </row>
    <row r="28" spans="1:7" x14ac:dyDescent="0.35">
      <c r="A28" s="14">
        <v>400</v>
      </c>
      <c r="B28" s="3" t="s">
        <v>46</v>
      </c>
      <c r="C28" s="12"/>
      <c r="D28" s="12"/>
      <c r="E28" s="12">
        <v>0.1</v>
      </c>
      <c r="F28" s="12"/>
    </row>
    <row r="29" spans="1:7" x14ac:dyDescent="0.35">
      <c r="A29" s="14">
        <v>590</v>
      </c>
      <c r="B29" s="3" t="s">
        <v>36</v>
      </c>
      <c r="C29" s="12">
        <v>0.125</v>
      </c>
      <c r="D29" s="12"/>
      <c r="E29" s="12"/>
      <c r="F29" s="12"/>
    </row>
    <row r="30" spans="1:7" x14ac:dyDescent="0.35">
      <c r="A30" s="14">
        <v>591</v>
      </c>
      <c r="B30" s="3" t="s">
        <v>47</v>
      </c>
      <c r="C30" s="12">
        <v>0.125</v>
      </c>
      <c r="D30" s="12"/>
      <c r="E30" s="12"/>
      <c r="F30" s="12"/>
    </row>
    <row r="31" spans="1:7" x14ac:dyDescent="0.35">
      <c r="A31" s="14"/>
      <c r="C31" s="12"/>
      <c r="D31" s="12"/>
      <c r="E31" s="12"/>
      <c r="F31" s="12"/>
    </row>
    <row r="32" spans="1:7" x14ac:dyDescent="0.35">
      <c r="A32" s="14"/>
      <c r="C32" s="12"/>
      <c r="D32" s="12"/>
      <c r="E32" s="12"/>
      <c r="F32" s="12"/>
    </row>
    <row r="33" spans="1:6" x14ac:dyDescent="0.35">
      <c r="A33" s="14"/>
      <c r="C33" s="12"/>
      <c r="D33" s="12"/>
      <c r="E33" s="12"/>
      <c r="F33" s="12"/>
    </row>
    <row r="34" spans="1:6" x14ac:dyDescent="0.35">
      <c r="C34" s="12"/>
      <c r="D34" s="12"/>
      <c r="E34" s="12"/>
      <c r="F34" s="12"/>
    </row>
    <row r="35" spans="1:6" x14ac:dyDescent="0.35">
      <c r="C35" s="12"/>
      <c r="D35" s="12"/>
      <c r="E35" s="12"/>
      <c r="F35" s="12"/>
    </row>
    <row r="36" spans="1:6" x14ac:dyDescent="0.35">
      <c r="C36" s="12"/>
      <c r="D36" s="12"/>
      <c r="E36" s="12"/>
      <c r="F36" s="12"/>
    </row>
    <row r="37" spans="1:6" x14ac:dyDescent="0.35">
      <c r="C37" s="12"/>
      <c r="D37" s="12"/>
      <c r="E37" s="12"/>
      <c r="F37" s="12"/>
    </row>
    <row r="38" spans="1:6" x14ac:dyDescent="0.35">
      <c r="C38" s="12"/>
      <c r="D38" s="12"/>
      <c r="E38" s="12"/>
      <c r="F38" s="12"/>
    </row>
  </sheetData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A0F954-5102-4D6D-A1B2-54502F925A69}">
  <dimension ref="A1:M21"/>
  <sheetViews>
    <sheetView tabSelected="1" topLeftCell="A7" workbookViewId="0">
      <selection activeCell="C9" sqref="C9:E9"/>
    </sheetView>
  </sheetViews>
  <sheetFormatPr defaultRowHeight="14.5" x14ac:dyDescent="0.35"/>
  <cols>
    <col min="1" max="1" width="25.54296875" customWidth="1"/>
    <col min="2" max="2" width="10.7265625" style="3" customWidth="1"/>
    <col min="3" max="3" width="11.90625" style="3" customWidth="1"/>
    <col min="4" max="4" width="4.453125" style="3" customWidth="1"/>
    <col min="5" max="6" width="11.54296875" style="3" customWidth="1"/>
    <col min="7" max="7" width="9.453125" style="3" bestFit="1" customWidth="1"/>
    <col min="8" max="8" width="17.81640625" style="3" bestFit="1" customWidth="1"/>
    <col min="9" max="9" width="8.7265625" style="3"/>
    <col min="10" max="10" width="10.7265625" style="3" customWidth="1"/>
    <col min="11" max="11" width="8.7265625" style="3"/>
    <col min="12" max="12" width="10.90625" style="3" customWidth="1"/>
    <col min="13" max="13" width="12.1796875" style="3" customWidth="1"/>
  </cols>
  <sheetData>
    <row r="1" spans="1:5" x14ac:dyDescent="0.35">
      <c r="A1" s="48" t="s">
        <v>0</v>
      </c>
      <c r="B1" s="48"/>
      <c r="C1" s="48"/>
      <c r="D1" s="48"/>
      <c r="E1" s="48"/>
    </row>
    <row r="2" spans="1:5" x14ac:dyDescent="0.35">
      <c r="A2" s="48" t="s">
        <v>43</v>
      </c>
      <c r="B2" s="48"/>
      <c r="C2" s="48"/>
      <c r="D2" s="48"/>
      <c r="E2" s="48"/>
    </row>
    <row r="3" spans="1:5" x14ac:dyDescent="0.35">
      <c r="A3" s="48" t="s">
        <v>44</v>
      </c>
      <c r="B3" s="48"/>
      <c r="C3" s="48"/>
      <c r="D3" s="48"/>
      <c r="E3" s="48"/>
    </row>
    <row r="4" spans="1:5" x14ac:dyDescent="0.35">
      <c r="A4" s="49" t="s">
        <v>45</v>
      </c>
      <c r="B4" s="49"/>
      <c r="C4" s="49"/>
      <c r="D4" s="49"/>
      <c r="E4" s="49"/>
    </row>
    <row r="5" spans="1:5" x14ac:dyDescent="0.35">
      <c r="A5" s="7"/>
    </row>
    <row r="6" spans="1:5" x14ac:dyDescent="0.35">
      <c r="C6" t="s">
        <v>38</v>
      </c>
      <c r="E6" s="3" t="s">
        <v>42</v>
      </c>
    </row>
    <row r="7" spans="1:5" x14ac:dyDescent="0.35">
      <c r="A7" s="10"/>
    </row>
    <row r="8" spans="1:5" x14ac:dyDescent="0.35">
      <c r="A8" s="9" t="s">
        <v>29</v>
      </c>
      <c r="B8" s="8" t="s">
        <v>27</v>
      </c>
      <c r="C8" s="3">
        <f>Will!C19*Will!C22+Will!E19*Will!E22+Will!F19*Will!F22</f>
        <v>86129.475000000006</v>
      </c>
      <c r="E8" s="3">
        <f>Jessica!C19*25%</f>
        <v>33988.080000000002</v>
      </c>
    </row>
    <row r="9" spans="1:5" x14ac:dyDescent="0.35">
      <c r="A9" s="9" t="s">
        <v>38</v>
      </c>
      <c r="B9" s="8" t="s">
        <v>39</v>
      </c>
      <c r="C9" s="3">
        <f>Will!B19</f>
        <v>41989.68</v>
      </c>
      <c r="E9" s="3">
        <f>Jessica!B19</f>
        <v>41989.68</v>
      </c>
    </row>
    <row r="10" spans="1:5" x14ac:dyDescent="0.35">
      <c r="A10" s="9" t="s">
        <v>40</v>
      </c>
      <c r="B10" s="8" t="s">
        <v>23</v>
      </c>
      <c r="E10" s="3">
        <f>'JESS HR &amp; ACCT'!E13+'JESS HR &amp; ACCT'!D16</f>
        <v>15883.279190854031</v>
      </c>
    </row>
    <row r="11" spans="1:5" x14ac:dyDescent="0.35">
      <c r="A11" s="9" t="s">
        <v>30</v>
      </c>
      <c r="B11" s="8" t="s">
        <v>28</v>
      </c>
      <c r="C11" s="3">
        <f>Will!E19*Will!E23</f>
        <v>30488.974999999999</v>
      </c>
      <c r="E11" s="3">
        <f>Jessica!E19*25%</f>
        <v>30488.974999999999</v>
      </c>
    </row>
    <row r="12" spans="1:5" x14ac:dyDescent="0.35">
      <c r="A12" s="9" t="s">
        <v>41</v>
      </c>
      <c r="B12" s="8" t="s">
        <v>25</v>
      </c>
      <c r="C12" s="3">
        <f>Will!D19</f>
        <v>104766.56999999999</v>
      </c>
      <c r="E12" s="3">
        <f>Jessica!D19</f>
        <v>95853.4</v>
      </c>
    </row>
    <row r="13" spans="1:5" x14ac:dyDescent="0.35">
      <c r="A13" s="9" t="s">
        <v>31</v>
      </c>
      <c r="B13" s="8">
        <v>206</v>
      </c>
      <c r="C13" s="3">
        <f>Will!C19*Will!C25+Will!F19*Will!F25</f>
        <v>51026.466</v>
      </c>
      <c r="E13" s="3">
        <f>Jessica!C19*25%+'JESS HR &amp; ACCT'!F13</f>
        <v>45137.414067619509</v>
      </c>
    </row>
    <row r="14" spans="1:5" x14ac:dyDescent="0.35">
      <c r="A14" s="9" t="s">
        <v>32</v>
      </c>
      <c r="B14" s="8">
        <v>208</v>
      </c>
      <c r="C14" s="3">
        <f>Will!C19*Will!C26+Will!E19*Will!E26</f>
        <v>93083.564999999988</v>
      </c>
      <c r="E14" s="3">
        <f>Jessica!C19*12.5%+Jessica!E19*60%+'JESS HR &amp; ACCT'!G13</f>
        <v>92800.696798913152</v>
      </c>
    </row>
    <row r="15" spans="1:5" x14ac:dyDescent="0.35">
      <c r="A15" s="9" t="s">
        <v>33</v>
      </c>
      <c r="B15" s="8">
        <v>230</v>
      </c>
      <c r="E15" s="3">
        <f>Jessica!E19*5%+'JESS HR &amp; ACCT'!H13</f>
        <v>7371.268787797836</v>
      </c>
    </row>
    <row r="16" spans="1:5" x14ac:dyDescent="0.35">
      <c r="A16" s="9" t="s">
        <v>34</v>
      </c>
      <c r="B16" s="8">
        <v>242</v>
      </c>
      <c r="C16" s="3">
        <f>Will!C19*Will!C28</f>
        <v>19910.024999999998</v>
      </c>
      <c r="E16" s="3">
        <f>Jessica!C19*12.5%+'JESS HR &amp; ACCT'!J13</f>
        <v>18371.217338253766</v>
      </c>
    </row>
    <row r="17" spans="1:5" x14ac:dyDescent="0.35">
      <c r="A17" s="9" t="s">
        <v>85</v>
      </c>
      <c r="B17" s="8">
        <v>245</v>
      </c>
      <c r="E17" s="3">
        <f>'JESS HR &amp; ACCT'!K13</f>
        <v>197.38483564690216</v>
      </c>
    </row>
    <row r="18" spans="1:5" x14ac:dyDescent="0.35">
      <c r="A18" s="9" t="s">
        <v>35</v>
      </c>
      <c r="B18" s="8">
        <v>400</v>
      </c>
      <c r="E18" s="3">
        <f>Jessica!E19*10%+'JESS HR &amp; ACCT'!L13</f>
        <v>12510.830739706456</v>
      </c>
    </row>
    <row r="19" spans="1:5" x14ac:dyDescent="0.35">
      <c r="A19" s="9" t="s">
        <v>36</v>
      </c>
      <c r="B19" s="8">
        <v>590</v>
      </c>
      <c r="C19" s="3">
        <f>Will!C19*Will!C30+Will!F19*Will!F30</f>
        <v>28314.837</v>
      </c>
      <c r="E19" s="3">
        <f>Jessica!C19*12.5%+'JESS HR &amp; ACCT'!M13</f>
        <v>28903.592797101439</v>
      </c>
    </row>
    <row r="20" spans="1:5" ht="15" thickBot="1" x14ac:dyDescent="0.4">
      <c r="A20" s="9" t="s">
        <v>37</v>
      </c>
      <c r="B20" s="8">
        <v>591</v>
      </c>
      <c r="C20" s="3">
        <f>Will!C19*Will!C31+Will!F19*Will!F31</f>
        <v>28314.837</v>
      </c>
      <c r="E20" s="3">
        <f>Jessica!C19*12.5%+'JESS HR &amp; ACCT'!N13</f>
        <v>28287.560444106904</v>
      </c>
    </row>
    <row r="21" spans="1:5" x14ac:dyDescent="0.35">
      <c r="A21" s="9" t="s">
        <v>6</v>
      </c>
      <c r="C21" s="5">
        <f>SUM(C8:C20)</f>
        <v>484024.43000000005</v>
      </c>
      <c r="D21" s="5"/>
      <c r="E21" s="5">
        <f t="shared" ref="E21" si="0">SUM(E8:E20)</f>
        <v>451783.38</v>
      </c>
    </row>
  </sheetData>
  <mergeCells count="4">
    <mergeCell ref="A1:E1"/>
    <mergeCell ref="A2:E2"/>
    <mergeCell ref="A3:E3"/>
    <mergeCell ref="A4:E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649ED7-5CBF-4B93-A32B-BD69E5F276D7}">
  <dimension ref="A1:Q27"/>
  <sheetViews>
    <sheetView workbookViewId="0">
      <selection activeCell="D5" sqref="D5"/>
    </sheetView>
  </sheetViews>
  <sheetFormatPr defaultRowHeight="14.5" x14ac:dyDescent="0.35"/>
  <cols>
    <col min="1" max="1" width="47.36328125" bestFit="1" customWidth="1"/>
    <col min="2" max="2" width="44" bestFit="1" customWidth="1"/>
    <col min="3" max="3" width="9" customWidth="1"/>
    <col min="4" max="4" width="10" bestFit="1" customWidth="1"/>
    <col min="5" max="5" width="14.36328125" bestFit="1" customWidth="1"/>
    <col min="6" max="6" width="14" customWidth="1"/>
    <col min="7" max="7" width="14.54296875" bestFit="1" customWidth="1"/>
    <col min="8" max="8" width="11.54296875" bestFit="1" customWidth="1"/>
    <col min="9" max="9" width="10.6328125" customWidth="1"/>
    <col min="10" max="10" width="16" customWidth="1"/>
    <col min="11" max="11" width="14.36328125" customWidth="1"/>
    <col min="12" max="12" width="13.36328125" customWidth="1"/>
    <col min="13" max="13" width="16.453125" customWidth="1"/>
    <col min="14" max="14" width="15.36328125" bestFit="1" customWidth="1"/>
    <col min="15" max="15" width="12.54296875" bestFit="1" customWidth="1"/>
  </cols>
  <sheetData>
    <row r="1" spans="1:15" ht="43.5" x14ac:dyDescent="0.35">
      <c r="A1" s="15" t="s">
        <v>49</v>
      </c>
      <c r="B1" s="15" t="s">
        <v>50</v>
      </c>
      <c r="C1" s="16" t="s">
        <v>51</v>
      </c>
      <c r="D1" s="16" t="s">
        <v>52</v>
      </c>
      <c r="E1" s="16" t="s">
        <v>53</v>
      </c>
      <c r="F1" s="16" t="s">
        <v>54</v>
      </c>
      <c r="G1" s="16" t="s">
        <v>55</v>
      </c>
      <c r="H1" s="16" t="s">
        <v>56</v>
      </c>
      <c r="I1" s="16" t="s">
        <v>57</v>
      </c>
      <c r="J1" s="16" t="s">
        <v>58</v>
      </c>
      <c r="K1" s="16" t="s">
        <v>59</v>
      </c>
      <c r="L1" s="16" t="s">
        <v>60</v>
      </c>
      <c r="M1" s="16" t="s">
        <v>61</v>
      </c>
      <c r="N1" s="16" t="s">
        <v>62</v>
      </c>
      <c r="O1" s="16" t="s">
        <v>63</v>
      </c>
    </row>
    <row r="2" spans="1:15" x14ac:dyDescent="0.35">
      <c r="A2" s="13" t="s">
        <v>64</v>
      </c>
      <c r="B2" t="s">
        <v>65</v>
      </c>
      <c r="C2" s="17">
        <v>1</v>
      </c>
      <c r="D2" s="18">
        <v>0</v>
      </c>
      <c r="E2" s="19">
        <f t="shared" ref="E2:N2" si="0">+E19/$O$19*$D$2</f>
        <v>0</v>
      </c>
      <c r="F2" s="19">
        <f t="shared" si="0"/>
        <v>0</v>
      </c>
      <c r="G2" s="19">
        <f t="shared" si="0"/>
        <v>0</v>
      </c>
      <c r="H2" s="19">
        <f t="shared" si="0"/>
        <v>0</v>
      </c>
      <c r="I2" s="19">
        <f t="shared" si="0"/>
        <v>0</v>
      </c>
      <c r="J2" s="19">
        <f t="shared" si="0"/>
        <v>0</v>
      </c>
      <c r="K2" s="19">
        <f t="shared" si="0"/>
        <v>0</v>
      </c>
      <c r="L2" s="19">
        <f t="shared" si="0"/>
        <v>0</v>
      </c>
      <c r="M2" s="19">
        <f t="shared" si="0"/>
        <v>0</v>
      </c>
      <c r="N2" s="19">
        <f t="shared" si="0"/>
        <v>0</v>
      </c>
      <c r="O2" s="20">
        <f>SUM(E2:N2)</f>
        <v>0</v>
      </c>
    </row>
    <row r="3" spans="1:15" x14ac:dyDescent="0.35">
      <c r="A3" t="s">
        <v>66</v>
      </c>
      <c r="B3" t="s">
        <v>65</v>
      </c>
      <c r="C3" s="21">
        <v>0.75</v>
      </c>
      <c r="D3" s="22">
        <f>Jessica!F19</f>
        <v>56032.08</v>
      </c>
      <c r="E3" s="18">
        <f t="shared" ref="E3:N3" si="1">+$D$3*E19/$O$19*$C$3</f>
        <v>10280.071190854038</v>
      </c>
      <c r="F3" s="18">
        <f t="shared" si="1"/>
        <v>4845.7250676195035</v>
      </c>
      <c r="G3" s="18">
        <f t="shared" si="1"/>
        <v>2633.1167989131623</v>
      </c>
      <c r="H3" s="18">
        <f t="shared" si="1"/>
        <v>1273.4737877978359</v>
      </c>
      <c r="I3" s="18">
        <f t="shared" si="1"/>
        <v>0</v>
      </c>
      <c r="J3" s="18">
        <f t="shared" si="1"/>
        <v>1377.1773382537635</v>
      </c>
      <c r="K3" s="18">
        <f t="shared" si="1"/>
        <v>197.38483564690216</v>
      </c>
      <c r="L3" s="18">
        <f>+$D$3*L19/$O$19*$C$3</f>
        <v>315.24073970645583</v>
      </c>
      <c r="M3" s="23">
        <f t="shared" si="1"/>
        <v>10858.951297101436</v>
      </c>
      <c r="N3" s="23">
        <f t="shared" si="1"/>
        <v>10242.918944106903</v>
      </c>
      <c r="O3" s="20">
        <f>SUM(E3:N3)</f>
        <v>42024.060000000005</v>
      </c>
    </row>
    <row r="4" spans="1:15" x14ac:dyDescent="0.35">
      <c r="A4" t="s">
        <v>66</v>
      </c>
      <c r="B4" t="s">
        <v>67</v>
      </c>
      <c r="C4" s="24">
        <v>0.25</v>
      </c>
      <c r="D4" s="25"/>
      <c r="E4" s="18">
        <f t="shared" ref="E4:N4" si="2">+$D$3*E21/$O$21*$C$4</f>
        <v>5603.2080000000005</v>
      </c>
      <c r="F4" s="18">
        <f t="shared" si="2"/>
        <v>6303.6090000000004</v>
      </c>
      <c r="G4" s="18">
        <f t="shared" si="2"/>
        <v>0</v>
      </c>
      <c r="H4" s="18">
        <f t="shared" si="2"/>
        <v>0</v>
      </c>
      <c r="I4" s="18">
        <f t="shared" si="2"/>
        <v>0</v>
      </c>
      <c r="J4" s="18">
        <f t="shared" si="2"/>
        <v>0</v>
      </c>
      <c r="K4" s="18">
        <f t="shared" si="2"/>
        <v>0</v>
      </c>
      <c r="L4" s="18">
        <f t="shared" si="2"/>
        <v>0</v>
      </c>
      <c r="M4" s="23">
        <f t="shared" si="2"/>
        <v>1050.6015</v>
      </c>
      <c r="N4" s="23">
        <f t="shared" si="2"/>
        <v>1050.6015</v>
      </c>
      <c r="O4" s="20">
        <f>SUM(E4:N4)</f>
        <v>14008.020000000002</v>
      </c>
    </row>
    <row r="5" spans="1:15" x14ac:dyDescent="0.35">
      <c r="A5" t="s">
        <v>68</v>
      </c>
      <c r="B5" t="s">
        <v>69</v>
      </c>
      <c r="C5" s="26">
        <v>0.2</v>
      </c>
      <c r="D5" s="22"/>
      <c r="E5" s="18">
        <f t="shared" ref="E5:N5" si="3">+$D$5*$C$5*E23/$O$23</f>
        <v>0</v>
      </c>
      <c r="F5" s="18">
        <f t="shared" si="3"/>
        <v>0</v>
      </c>
      <c r="G5" s="18">
        <f t="shared" si="3"/>
        <v>0</v>
      </c>
      <c r="H5" s="18">
        <f t="shared" si="3"/>
        <v>0</v>
      </c>
      <c r="I5" s="18">
        <f t="shared" si="3"/>
        <v>0</v>
      </c>
      <c r="J5" s="18">
        <f t="shared" si="3"/>
        <v>0</v>
      </c>
      <c r="K5" s="18">
        <f t="shared" si="3"/>
        <v>0</v>
      </c>
      <c r="L5" s="18">
        <f t="shared" si="3"/>
        <v>0</v>
      </c>
      <c r="M5" s="23">
        <f t="shared" si="3"/>
        <v>0</v>
      </c>
      <c r="N5" s="23">
        <f t="shared" si="3"/>
        <v>0</v>
      </c>
      <c r="O5" s="20">
        <f t="shared" ref="O5:O12" si="4">SUM(E5:N5)</f>
        <v>0</v>
      </c>
    </row>
    <row r="6" spans="1:15" x14ac:dyDescent="0.35">
      <c r="A6" t="s">
        <v>68</v>
      </c>
      <c r="B6" t="s">
        <v>67</v>
      </c>
      <c r="C6" s="27">
        <v>0.1</v>
      </c>
      <c r="D6" s="25"/>
      <c r="E6" s="18">
        <f>+$D$5*$C6*E21/$O$21</f>
        <v>0</v>
      </c>
      <c r="F6" s="18">
        <f t="shared" ref="F6:N6" si="5">+$D$5*$C6*F21/$O$21</f>
        <v>0</v>
      </c>
      <c r="G6" s="18">
        <f t="shared" si="5"/>
        <v>0</v>
      </c>
      <c r="H6" s="18">
        <f t="shared" si="5"/>
        <v>0</v>
      </c>
      <c r="I6" s="18">
        <f t="shared" si="5"/>
        <v>0</v>
      </c>
      <c r="J6" s="18">
        <f t="shared" si="5"/>
        <v>0</v>
      </c>
      <c r="K6" s="18">
        <f t="shared" si="5"/>
        <v>0</v>
      </c>
      <c r="L6" s="18">
        <f t="shared" si="5"/>
        <v>0</v>
      </c>
      <c r="M6" s="23">
        <f t="shared" si="5"/>
        <v>0</v>
      </c>
      <c r="N6" s="23">
        <f t="shared" si="5"/>
        <v>0</v>
      </c>
      <c r="O6" s="20">
        <f>SUM(E6:N6)</f>
        <v>0</v>
      </c>
    </row>
    <row r="7" spans="1:15" x14ac:dyDescent="0.35">
      <c r="A7" t="s">
        <v>68</v>
      </c>
      <c r="B7" t="s">
        <v>70</v>
      </c>
      <c r="C7" s="27">
        <v>0.4</v>
      </c>
      <c r="D7" s="25"/>
      <c r="E7" s="18">
        <f t="shared" ref="E7:N7" si="6">+$D$5*$C$7*E24/$O$24</f>
        <v>0</v>
      </c>
      <c r="F7" s="18">
        <f t="shared" si="6"/>
        <v>0</v>
      </c>
      <c r="G7" s="18">
        <f t="shared" si="6"/>
        <v>0</v>
      </c>
      <c r="H7" s="18">
        <f t="shared" si="6"/>
        <v>0</v>
      </c>
      <c r="I7" s="18">
        <f t="shared" si="6"/>
        <v>0</v>
      </c>
      <c r="J7" s="18">
        <f t="shared" si="6"/>
        <v>0</v>
      </c>
      <c r="K7" s="18">
        <f t="shared" si="6"/>
        <v>0</v>
      </c>
      <c r="L7" s="18">
        <f t="shared" si="6"/>
        <v>0</v>
      </c>
      <c r="M7" s="23">
        <f t="shared" si="6"/>
        <v>0</v>
      </c>
      <c r="N7" s="23">
        <f t="shared" si="6"/>
        <v>0</v>
      </c>
      <c r="O7" s="20">
        <f t="shared" si="4"/>
        <v>0</v>
      </c>
    </row>
    <row r="8" spans="1:15" x14ac:dyDescent="0.35">
      <c r="A8" t="s">
        <v>68</v>
      </c>
      <c r="B8" t="s">
        <v>65</v>
      </c>
      <c r="C8" s="27">
        <v>0.1</v>
      </c>
      <c r="D8" s="25" t="s">
        <v>71</v>
      </c>
      <c r="E8" s="18">
        <f>+$D$5*$C$8*E19/$O$19</f>
        <v>0</v>
      </c>
      <c r="F8" s="18">
        <f t="shared" ref="F8:N8" si="7">+$D$5*$C$8*F19/$O$19</f>
        <v>0</v>
      </c>
      <c r="G8" s="18">
        <f t="shared" si="7"/>
        <v>0</v>
      </c>
      <c r="H8" s="18">
        <f t="shared" si="7"/>
        <v>0</v>
      </c>
      <c r="I8" s="18">
        <f t="shared" si="7"/>
        <v>0</v>
      </c>
      <c r="J8" s="18">
        <f t="shared" si="7"/>
        <v>0</v>
      </c>
      <c r="K8" s="18">
        <f t="shared" si="7"/>
        <v>0</v>
      </c>
      <c r="L8" s="18">
        <f t="shared" si="7"/>
        <v>0</v>
      </c>
      <c r="M8" s="23">
        <f t="shared" si="7"/>
        <v>0</v>
      </c>
      <c r="N8" s="23">
        <f t="shared" si="7"/>
        <v>0</v>
      </c>
      <c r="O8" s="20">
        <f>SUM(E8:N8)</f>
        <v>0</v>
      </c>
    </row>
    <row r="9" spans="1:15" x14ac:dyDescent="0.35">
      <c r="A9" t="s">
        <v>72</v>
      </c>
      <c r="B9" t="s">
        <v>73</v>
      </c>
      <c r="C9" s="28">
        <v>0.2</v>
      </c>
      <c r="D9" s="29"/>
      <c r="E9" s="18">
        <v>0</v>
      </c>
      <c r="F9" s="18">
        <v>0</v>
      </c>
      <c r="G9" s="18">
        <v>0</v>
      </c>
      <c r="H9" s="18">
        <v>0</v>
      </c>
      <c r="I9" s="18">
        <v>0</v>
      </c>
      <c r="J9" s="18">
        <v>0</v>
      </c>
      <c r="K9" s="18">
        <v>0</v>
      </c>
      <c r="L9" s="18">
        <v>0</v>
      </c>
      <c r="M9" s="23">
        <v>0</v>
      </c>
      <c r="N9" s="23">
        <v>0</v>
      </c>
      <c r="O9" s="20">
        <f t="shared" si="4"/>
        <v>0</v>
      </c>
    </row>
    <row r="10" spans="1:15" x14ac:dyDescent="0.35">
      <c r="A10" t="s">
        <v>74</v>
      </c>
      <c r="B10" t="s">
        <v>65</v>
      </c>
      <c r="C10" s="30">
        <v>1</v>
      </c>
      <c r="D10" s="31"/>
      <c r="E10" s="19">
        <f t="shared" ref="E10:N10" si="8">+E19/$O$19*$D$10</f>
        <v>0</v>
      </c>
      <c r="F10" s="19">
        <f t="shared" si="8"/>
        <v>0</v>
      </c>
      <c r="G10" s="19">
        <f t="shared" si="8"/>
        <v>0</v>
      </c>
      <c r="H10" s="19">
        <f t="shared" si="8"/>
        <v>0</v>
      </c>
      <c r="I10" s="19">
        <f t="shared" si="8"/>
        <v>0</v>
      </c>
      <c r="J10" s="19">
        <f t="shared" si="8"/>
        <v>0</v>
      </c>
      <c r="K10" s="19">
        <f t="shared" si="8"/>
        <v>0</v>
      </c>
      <c r="L10" s="19">
        <f t="shared" si="8"/>
        <v>0</v>
      </c>
      <c r="M10" s="23">
        <f t="shared" si="8"/>
        <v>0</v>
      </c>
      <c r="N10" s="23">
        <f t="shared" si="8"/>
        <v>0</v>
      </c>
      <c r="O10" s="20">
        <f t="shared" si="4"/>
        <v>0</v>
      </c>
    </row>
    <row r="11" spans="1:15" x14ac:dyDescent="0.35">
      <c r="A11" t="s">
        <v>75</v>
      </c>
      <c r="B11" t="s">
        <v>76</v>
      </c>
      <c r="C11" s="30">
        <v>1</v>
      </c>
      <c r="D11" s="31"/>
      <c r="E11" s="18">
        <f t="shared" ref="E11:N11" si="9">+$D$11*E26</f>
        <v>0</v>
      </c>
      <c r="F11" s="18">
        <f t="shared" si="9"/>
        <v>0</v>
      </c>
      <c r="G11" s="18">
        <f t="shared" si="9"/>
        <v>0</v>
      </c>
      <c r="H11" s="18">
        <f t="shared" si="9"/>
        <v>0</v>
      </c>
      <c r="I11" s="18">
        <f t="shared" si="9"/>
        <v>0</v>
      </c>
      <c r="J11" s="18">
        <f t="shared" si="9"/>
        <v>0</v>
      </c>
      <c r="K11" s="18">
        <f t="shared" si="9"/>
        <v>0</v>
      </c>
      <c r="L11" s="18">
        <f t="shared" si="9"/>
        <v>0</v>
      </c>
      <c r="M11" s="18">
        <f t="shared" si="9"/>
        <v>0</v>
      </c>
      <c r="N11" s="18">
        <f t="shared" si="9"/>
        <v>0</v>
      </c>
      <c r="O11" s="20">
        <f t="shared" si="4"/>
        <v>0</v>
      </c>
    </row>
    <row r="12" spans="1:15" x14ac:dyDescent="0.35">
      <c r="A12" t="s">
        <v>77</v>
      </c>
      <c r="B12" t="s">
        <v>78</v>
      </c>
      <c r="C12" s="30">
        <v>1</v>
      </c>
      <c r="D12" s="18"/>
      <c r="E12" s="18">
        <f t="shared" ref="E12:N12" si="10">+$D$12*E25/$O$25</f>
        <v>0</v>
      </c>
      <c r="F12" s="18">
        <f t="shared" si="10"/>
        <v>0</v>
      </c>
      <c r="G12" s="18">
        <f t="shared" si="10"/>
        <v>0</v>
      </c>
      <c r="H12" s="18">
        <f t="shared" si="10"/>
        <v>0</v>
      </c>
      <c r="I12" s="18">
        <f t="shared" si="10"/>
        <v>0</v>
      </c>
      <c r="J12" s="18">
        <f t="shared" si="10"/>
        <v>0</v>
      </c>
      <c r="K12" s="18">
        <f t="shared" si="10"/>
        <v>0</v>
      </c>
      <c r="L12" s="18">
        <f t="shared" si="10"/>
        <v>0</v>
      </c>
      <c r="M12" s="18">
        <f t="shared" si="10"/>
        <v>0</v>
      </c>
      <c r="N12" s="18">
        <f t="shared" si="10"/>
        <v>0</v>
      </c>
      <c r="O12" s="20">
        <f t="shared" si="4"/>
        <v>0</v>
      </c>
    </row>
    <row r="13" spans="1:15" ht="15" thickBot="1" x14ac:dyDescent="0.4">
      <c r="D13" s="20">
        <f>SUM(D3:D6)</f>
        <v>56032.08</v>
      </c>
      <c r="E13" s="32">
        <f t="shared" ref="E13:O13" si="11">SUM(E2:E12)</f>
        <v>15883.279190854038</v>
      </c>
      <c r="F13" s="32">
        <f t="shared" si="11"/>
        <v>11149.334067619504</v>
      </c>
      <c r="G13" s="32">
        <f t="shared" si="11"/>
        <v>2633.1167989131623</v>
      </c>
      <c r="H13" s="32">
        <f t="shared" si="11"/>
        <v>1273.4737877978359</v>
      </c>
      <c r="I13" s="32">
        <f t="shared" si="11"/>
        <v>0</v>
      </c>
      <c r="J13" s="32">
        <f t="shared" si="11"/>
        <v>1377.1773382537635</v>
      </c>
      <c r="K13" s="32">
        <f t="shared" si="11"/>
        <v>197.38483564690216</v>
      </c>
      <c r="L13" s="32">
        <f t="shared" si="11"/>
        <v>315.24073970645583</v>
      </c>
      <c r="M13" s="32">
        <f t="shared" si="11"/>
        <v>11909.552797101436</v>
      </c>
      <c r="N13" s="32">
        <f t="shared" si="11"/>
        <v>11293.520444106904</v>
      </c>
      <c r="O13" s="32">
        <f t="shared" si="11"/>
        <v>56032.080000000009</v>
      </c>
    </row>
    <row r="14" spans="1:15" ht="15" thickTop="1" x14ac:dyDescent="0.35">
      <c r="E14" s="20"/>
      <c r="F14" s="20"/>
      <c r="G14" s="20"/>
      <c r="H14" s="20"/>
      <c r="I14" s="33"/>
      <c r="J14" s="33"/>
      <c r="K14" s="20"/>
      <c r="L14" s="33">
        <f>+L13/11</f>
        <v>28.658249064223256</v>
      </c>
      <c r="M14" s="20"/>
      <c r="N14" s="20"/>
      <c r="O14" s="20"/>
    </row>
    <row r="15" spans="1:15" hidden="1" x14ac:dyDescent="0.35">
      <c r="A15" s="34" t="s">
        <v>79</v>
      </c>
      <c r="E15" s="20"/>
      <c r="F15" s="35">
        <f>0.1*('[1]Costs to be Allocated'!C10+'[1]Costs to be Allocated'!C11)+'[1]Other Allocations'!C2</f>
        <v>31571.200000000001</v>
      </c>
      <c r="G15" s="36"/>
      <c r="H15" s="36"/>
      <c r="I15" s="37"/>
      <c r="J15" s="37"/>
      <c r="K15" s="36"/>
      <c r="L15" s="37"/>
      <c r="M15" s="35">
        <f>0.2*('[1]Costs to be Allocated'!C10+'[1]Costs to be Allocated'!C11)+'[1]Other Allocations'!J2+8800</f>
        <v>68542.399999999994</v>
      </c>
      <c r="N15" s="35">
        <f>0.2*('[1]Costs to be Allocated'!C10+'[1]Costs to be Allocated'!C11)+'[1]Other Allocations'!K2+8800</f>
        <v>68542.399999999994</v>
      </c>
      <c r="O15" s="20"/>
    </row>
    <row r="16" spans="1:15" x14ac:dyDescent="0.35">
      <c r="B16" t="s">
        <v>86</v>
      </c>
      <c r="D16" s="20">
        <f>SUM(D13-O13)</f>
        <v>-7.2759576141834259E-12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</row>
    <row r="17" spans="1:17" x14ac:dyDescent="0.35">
      <c r="A17" s="38"/>
      <c r="B17" s="38"/>
      <c r="C17" s="38"/>
      <c r="D17" s="38"/>
      <c r="E17" s="39"/>
      <c r="F17" s="39"/>
      <c r="G17" s="39"/>
      <c r="H17" s="39"/>
      <c r="I17" s="39"/>
      <c r="J17" s="39"/>
      <c r="K17" s="39"/>
      <c r="L17" s="39"/>
      <c r="M17" s="39"/>
      <c r="N17" s="39"/>
      <c r="O17" s="39"/>
    </row>
    <row r="18" spans="1:17" ht="43.5" x14ac:dyDescent="0.35">
      <c r="A18" s="15" t="s">
        <v>50</v>
      </c>
      <c r="B18" s="40"/>
      <c r="E18" s="16" t="str">
        <f t="shared" ref="E18:O18" si="12">+E1</f>
        <v>General Fund</v>
      </c>
      <c r="F18" s="16" t="str">
        <f t="shared" si="12"/>
        <v>Fire Fund</v>
      </c>
      <c r="G18" s="16" t="str">
        <f t="shared" si="12"/>
        <v>Parks &amp; Pathways Fund</v>
      </c>
      <c r="H18" s="16" t="str">
        <f t="shared" si="12"/>
        <v>Bus Fund</v>
      </c>
      <c r="I18" s="16" t="str">
        <f t="shared" si="12"/>
        <v>Tree Mitigation Fund</v>
      </c>
      <c r="J18" s="16" t="str">
        <f t="shared" si="12"/>
        <v>Open Space Fund</v>
      </c>
      <c r="K18" s="16" t="str">
        <f t="shared" si="12"/>
        <v>Public Improvement Fund</v>
      </c>
      <c r="L18" s="16" t="str">
        <f t="shared" si="12"/>
        <v>Special Assessments Funds</v>
      </c>
      <c r="M18" s="16" t="str">
        <f t="shared" si="12"/>
        <v>Sewer Fund</v>
      </c>
      <c r="N18" s="16" t="str">
        <f t="shared" si="12"/>
        <v>Water Fund</v>
      </c>
      <c r="O18" s="16" t="str">
        <f t="shared" si="12"/>
        <v>Total</v>
      </c>
    </row>
    <row r="19" spans="1:17" x14ac:dyDescent="0.35">
      <c r="A19" t="s">
        <v>80</v>
      </c>
      <c r="E19" s="41">
        <v>3325395</v>
      </c>
      <c r="F19" s="41">
        <v>1567494</v>
      </c>
      <c r="G19" s="42">
        <v>851760</v>
      </c>
      <c r="H19" s="41">
        <v>411943</v>
      </c>
      <c r="I19" s="41">
        <v>0</v>
      </c>
      <c r="J19" s="41">
        <v>445489</v>
      </c>
      <c r="K19" s="41">
        <v>63850</v>
      </c>
      <c r="L19" s="41">
        <v>101974</v>
      </c>
      <c r="M19" s="41">
        <v>3512651</v>
      </c>
      <c r="N19" s="41">
        <v>3313377</v>
      </c>
      <c r="O19" s="20">
        <f>SUM(E19:N19)</f>
        <v>13593933</v>
      </c>
    </row>
    <row r="20" spans="1:17" x14ac:dyDescent="0.35">
      <c r="A20" t="s">
        <v>73</v>
      </c>
      <c r="E20" s="43" t="s">
        <v>81</v>
      </c>
      <c r="F20" s="43" t="s">
        <v>81</v>
      </c>
      <c r="G20" s="43" t="s">
        <v>81</v>
      </c>
      <c r="H20" s="43" t="s">
        <v>81</v>
      </c>
      <c r="I20" s="43" t="s">
        <v>82</v>
      </c>
      <c r="J20" s="43" t="s">
        <v>81</v>
      </c>
      <c r="K20" s="43" t="s">
        <v>82</v>
      </c>
      <c r="L20" s="43" t="s">
        <v>81</v>
      </c>
      <c r="M20" s="43" t="s">
        <v>82</v>
      </c>
      <c r="N20" s="43" t="s">
        <v>82</v>
      </c>
    </row>
    <row r="21" spans="1:17" x14ac:dyDescent="0.35">
      <c r="A21" t="s">
        <v>67</v>
      </c>
      <c r="E21" s="44">
        <v>16</v>
      </c>
      <c r="F21" s="44">
        <v>18</v>
      </c>
      <c r="G21" s="44">
        <v>0</v>
      </c>
      <c r="H21" s="44">
        <v>0</v>
      </c>
      <c r="I21" s="44">
        <v>0</v>
      </c>
      <c r="J21" s="44">
        <v>0</v>
      </c>
      <c r="K21" s="44">
        <v>0</v>
      </c>
      <c r="L21" s="44">
        <v>0</v>
      </c>
      <c r="M21" s="44">
        <v>3</v>
      </c>
      <c r="N21" s="44">
        <v>3</v>
      </c>
      <c r="O21" s="7">
        <f t="shared" ref="O21:O26" si="13">SUM(E21:N21)</f>
        <v>40</v>
      </c>
    </row>
    <row r="22" spans="1:17" x14ac:dyDescent="0.35">
      <c r="A22" t="s">
        <v>83</v>
      </c>
      <c r="E22" s="41">
        <v>8810222</v>
      </c>
      <c r="F22" s="41">
        <v>875217</v>
      </c>
      <c r="G22" s="41">
        <v>0</v>
      </c>
      <c r="H22" s="41">
        <v>397261</v>
      </c>
      <c r="I22" s="41">
        <v>220204</v>
      </c>
      <c r="J22" s="41">
        <v>2639915</v>
      </c>
      <c r="K22" s="41">
        <v>523321</v>
      </c>
      <c r="L22" s="41">
        <v>1314393</v>
      </c>
      <c r="M22" s="41">
        <f>15417485-935385</f>
        <v>14482100</v>
      </c>
      <c r="N22" s="41">
        <f>6347002-1160245</f>
        <v>5186757</v>
      </c>
      <c r="O22" s="20">
        <f t="shared" si="13"/>
        <v>34449390</v>
      </c>
    </row>
    <row r="23" spans="1:17" x14ac:dyDescent="0.35">
      <c r="A23" t="s">
        <v>69</v>
      </c>
      <c r="E23" s="43">
        <v>1557</v>
      </c>
      <c r="F23" s="43">
        <v>553</v>
      </c>
      <c r="G23" s="43">
        <v>0</v>
      </c>
      <c r="H23" s="43">
        <v>17</v>
      </c>
      <c r="I23" s="43">
        <v>0</v>
      </c>
      <c r="J23" s="43">
        <v>58</v>
      </c>
      <c r="K23" s="43">
        <v>8</v>
      </c>
      <c r="L23" s="43">
        <f>1+3+2+3+1+1+5+2+8</f>
        <v>26</v>
      </c>
      <c r="M23" s="43">
        <v>602</v>
      </c>
      <c r="N23" s="43">
        <v>537</v>
      </c>
      <c r="O23" s="7">
        <f t="shared" si="13"/>
        <v>3358</v>
      </c>
    </row>
    <row r="24" spans="1:17" x14ac:dyDescent="0.35">
      <c r="A24" t="s">
        <v>84</v>
      </c>
      <c r="E24" s="43">
        <v>906</v>
      </c>
      <c r="F24" s="43">
        <v>63</v>
      </c>
      <c r="G24" s="43">
        <v>0</v>
      </c>
      <c r="H24" s="43">
        <v>31</v>
      </c>
      <c r="I24" s="43">
        <v>0</v>
      </c>
      <c r="J24" s="43">
        <v>42</v>
      </c>
      <c r="K24" s="43">
        <v>9</v>
      </c>
      <c r="L24" s="43">
        <v>344</v>
      </c>
      <c r="M24" s="43">
        <v>7672</v>
      </c>
      <c r="N24" s="43">
        <v>7839</v>
      </c>
      <c r="O24" s="7">
        <f t="shared" si="13"/>
        <v>16906</v>
      </c>
      <c r="Q24" t="s">
        <v>71</v>
      </c>
    </row>
    <row r="25" spans="1:17" x14ac:dyDescent="0.35">
      <c r="A25" t="s">
        <v>78</v>
      </c>
      <c r="E25" s="43">
        <v>16</v>
      </c>
      <c r="F25" s="43">
        <v>6</v>
      </c>
      <c r="G25" s="43">
        <v>0</v>
      </c>
      <c r="H25" s="43">
        <v>0</v>
      </c>
      <c r="I25" s="43"/>
      <c r="J25" s="43"/>
      <c r="K25" s="43"/>
      <c r="L25" s="43"/>
      <c r="M25" s="43">
        <v>3</v>
      </c>
      <c r="N25" s="43">
        <v>3</v>
      </c>
      <c r="O25" s="7">
        <f t="shared" si="13"/>
        <v>28</v>
      </c>
    </row>
    <row r="26" spans="1:17" x14ac:dyDescent="0.35">
      <c r="A26" t="s">
        <v>76</v>
      </c>
      <c r="E26" s="45">
        <f>1-SUM(F26:N26)</f>
        <v>0.8697960661276698</v>
      </c>
      <c r="F26" s="45"/>
      <c r="G26" s="45">
        <v>0</v>
      </c>
      <c r="H26" s="45">
        <v>0</v>
      </c>
      <c r="I26" s="43"/>
      <c r="J26" s="43"/>
      <c r="K26" s="43"/>
      <c r="L26" s="43"/>
      <c r="M26" s="45">
        <f>2158/16574*0.5</f>
        <v>6.5101966936165073E-2</v>
      </c>
      <c r="N26" s="45">
        <f>2158/16574*0.5</f>
        <v>6.5101966936165073E-2</v>
      </c>
      <c r="O26" s="46">
        <f t="shared" si="13"/>
        <v>1</v>
      </c>
    </row>
    <row r="27" spans="1:17" x14ac:dyDescent="0.35">
      <c r="A27" s="47" t="s">
        <v>71</v>
      </c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29861C7E999CA409A4E036FB1CA95C9" ma:contentTypeVersion="4" ma:contentTypeDescription="Create a new document." ma:contentTypeScope="" ma:versionID="9634f2dd1f4849e57389fdfce87f390d">
  <xsd:schema xmlns:xsd="http://www.w3.org/2001/XMLSchema" xmlns:xs="http://www.w3.org/2001/XMLSchema" xmlns:p="http://schemas.microsoft.com/office/2006/metadata/properties" xmlns:ns2="dcece5bd-9e5f-4c20-bbbd-4c80294ee80e" xmlns:ns3="23f18578-dd1c-4eec-995d-1c9ff5337f80" targetNamespace="http://schemas.microsoft.com/office/2006/metadata/properties" ma:root="true" ma:fieldsID="169112d2cd2a7c805cee3b306a41e150" ns2:_="" ns3:_="">
    <xsd:import namespace="dcece5bd-9e5f-4c20-bbbd-4c80294ee80e"/>
    <xsd:import namespace="23f18578-dd1c-4eec-995d-1c9ff5337f8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ece5bd-9e5f-4c20-bbbd-4c80294ee80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f18578-dd1c-4eec-995d-1c9ff5337f8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E4320C1-7608-47F3-9635-653F210ED1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1AFEDD3-37C0-4617-A556-C3412DB4E8A1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DF73CBD4-DD6B-4B37-A53B-BE91869C4AC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cece5bd-9e5f-4c20-bbbd-4c80294ee80e"/>
    <ds:schemaRef ds:uri="23f18578-dd1c-4eec-995d-1c9ff5337f8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Will</vt:lpstr>
      <vt:lpstr>Jessica</vt:lpstr>
      <vt:lpstr>COST SPREAD</vt:lpstr>
      <vt:lpstr>JESS HR &amp; ACCT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Sandy Egeler</dc:creator>
  <cp:lastModifiedBy>Sandy Egeler</cp:lastModifiedBy>
  <cp:lastPrinted>2021-05-03T15:27:34Z</cp:lastPrinted>
  <dcterms:created xsi:type="dcterms:W3CDTF">2021-05-03T14:05:53Z</dcterms:created>
  <dcterms:modified xsi:type="dcterms:W3CDTF">2021-05-05T18:01:43Z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0x010100329861C7E999CA409A4E036FB1CA95C9</vt:lpwstr>
  </property>
</Properties>
</file>